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ular_Current Analysis\Inflation Report\2019.04\"/>
    </mc:Choice>
  </mc:AlternateContent>
  <bookViews>
    <workbookView xWindow="0" yWindow="0" windowWidth="17460" windowHeight="11190"/>
  </bookViews>
  <sheets>
    <sheet name="1a.Main IR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[2]C!$L$15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 localSheetId="0">#REF!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[2]C!$L$34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[2]C!$L$43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[2]C!$L$9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Y" localSheetId="0">#REF!</definedName>
    <definedName name="CPIFY">#REF!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Y" localSheetId="0">#REF!</definedName>
    <definedName name="CPINFY">#REF!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Y" localSheetId="0">#REF!</definedName>
    <definedName name="CPISY">#REF!</definedName>
    <definedName name="CPIY" localSheetId="0">#REF!</definedName>
    <definedName name="CPIY">#REF!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[2]C!$L$22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[2]C!$L$41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[2]C!$L$17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[2]C!$L$16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[2]C!$L$18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[2]C!$L$24</definedName>
    <definedName name="EXRAVR_P" localSheetId="0">#REF!</definedName>
    <definedName name="EXRAVR_P">#REF!</definedName>
    <definedName name="EXREND">[2]C!$L$25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g" localSheetId="0">#REF!</definedName>
    <definedName name="g">#REF!</definedName>
    <definedName name="GDP">[2]C!$L$6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[2]C!$L$7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[2]C!$L$12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[2]C!$L$13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[2]Links!$AD$37</definedName>
    <definedName name="M3_P" localSheetId="0">#REF!</definedName>
    <definedName name="M3_P">#REF!</definedName>
    <definedName name="M3_R">[2]C!$L$28</definedName>
    <definedName name="M3_R1">[2]C!$L$29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[2]Links!$AD$42</definedName>
    <definedName name="MB_P" localSheetId="0">#REF!</definedName>
    <definedName name="MB_P">#REF!</definedName>
    <definedName name="MB_R">[2]C!$L$26</definedName>
    <definedName name="MB_R1">[2]C!$L$27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[2]C!$G$14</definedName>
    <definedName name="Month_" localSheetId="0">#REF!</definedName>
    <definedName name="Month_">#REF!</definedName>
    <definedName name="MonthL">[2]C!$G$15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[2]labels!#REF!</definedName>
    <definedName name="p">[2]labels!#REF!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[2]C!$L$33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[8]Table!$A$3:$AB$73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#REF!,[9]Contents!$A$87:$H$247</definedName>
    <definedName name="Table135">#REF!,[9]Contents!$A$87:$H$247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#REF!,[10]Contents!$A$87:$H$247</definedName>
    <definedName name="Table21">#REF!,[10]Contents!$A$87:$H$247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[8]Table_GEF!$B$2:$T$53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[2]Links!$J$12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[2]C!$L$23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[2]C!$L$30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[2]C!$L$31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[2]C!$L$21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[2]C!$L$11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A" localSheetId="0">#REF!</definedName>
    <definedName name="WPICA">#REF!</definedName>
    <definedName name="WPImov_f" localSheetId="0">#REF!</definedName>
    <definedName name="WPImov_f">#REF!</definedName>
    <definedName name="WPIMY" localSheetId="0">#REF!</definedName>
    <definedName name="WPIMY">#REF!</definedName>
    <definedName name="WPIMYA" localSheetId="0">#REF!</definedName>
    <definedName name="WPIMYA">#REF!</definedName>
    <definedName name="WPIY" localSheetId="0">#REF!</definedName>
    <definedName name="WPIY">#REF!</definedName>
    <definedName name="WR">[2]C!$L$20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 localSheetId="0">[12]C!#REF!</definedName>
    <definedName name="Year2">[12]C!#REF!</definedName>
    <definedName name="zDollarGDP">[13]ass!$A$7:$IV$7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[13]oth!$A$17:$IV$17</definedName>
    <definedName name="zRoWCPIchange" localSheetId="0">#REF!</definedName>
    <definedName name="zRoWCPIchange">#REF!</definedName>
    <definedName name="zSDReRate">[13]ass!$A$24:$IV$24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 localSheetId="0">#REF!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іі" localSheetId="0" hidden="1">{"MONA",#N/A,FALSE,"S"}</definedName>
    <definedName name="ііі" hidden="1">{"MONA",#N/A,FALSE,"S"}</definedName>
    <definedName name="М2">'[4]Мульт-ор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'1a.Main IR '!$B$2:$P$40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Список">'[11]146024'!$A$8:$A$88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 localSheetId="0">#REF!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'[20]т17мб(шаблон)'!$A$1</definedName>
    <definedName name="ттт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5" l="1"/>
  <c r="B19" i="5"/>
  <c r="B40" i="5" l="1"/>
  <c r="B39" i="5"/>
  <c r="B38" i="5"/>
  <c r="B37" i="5"/>
  <c r="B35" i="5"/>
  <c r="B34" i="5"/>
  <c r="B33" i="5"/>
  <c r="B32" i="5"/>
  <c r="B31" i="5"/>
  <c r="B30" i="5"/>
  <c r="B29" i="5"/>
  <c r="B28" i="5"/>
  <c r="B26" i="5"/>
  <c r="B25" i="5"/>
  <c r="B24" i="5"/>
  <c r="B23" i="5"/>
  <c r="B22" i="5"/>
  <c r="B20" i="5"/>
  <c r="B17" i="5"/>
  <c r="B16" i="5"/>
  <c r="B15" i="5"/>
  <c r="B14" i="5"/>
  <c r="B13" i="5"/>
  <c r="B12" i="5"/>
  <c r="B11" i="5"/>
  <c r="B10" i="5"/>
  <c r="B9" i="5"/>
  <c r="B8" i="5"/>
  <c r="B7" i="5"/>
  <c r="B6" i="5"/>
  <c r="W4" i="5"/>
  <c r="V4" i="5"/>
  <c r="Q4" i="5"/>
  <c r="P4" i="5"/>
  <c r="K4" i="5"/>
  <c r="J4" i="5"/>
  <c r="B3" i="5"/>
  <c r="B2" i="5"/>
</calcChain>
</file>

<file path=xl/sharedStrings.xml><?xml version="1.0" encoding="utf-8"?>
<sst xmlns="http://schemas.openxmlformats.org/spreadsheetml/2006/main" count="110" uniqueCount="7">
  <si>
    <t>UA</t>
  </si>
  <si>
    <t>EN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</si>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</sst>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0_);_(* \-#,##0.000_);_(* &quot;--&quot;_);_(@_)"/>
    <numFmt numFmtId="165" formatCode="General_)"/>
    <numFmt numFmtId="166" formatCode="0.0"/>
  </numFmts>
  <fonts count="18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ms Rmn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0" tint="-0.499984740745262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theme="0" tint="-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5"/>
      </left>
      <right style="hair">
        <color theme="5"/>
      </right>
      <top/>
      <bottom/>
      <diagonal/>
    </border>
    <border>
      <left style="hair">
        <color theme="5"/>
      </left>
      <right style="hair">
        <color theme="5"/>
      </right>
      <top/>
      <bottom style="thin">
        <color theme="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5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5" fontId="2" fillId="0" borderId="0"/>
    <xf numFmtId="0" fontId="6" fillId="0" borderId="0"/>
  </cellStyleXfs>
  <cellXfs count="6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0" xfId="1" applyFont="1"/>
    <xf numFmtId="1" fontId="3" fillId="0" borderId="0" xfId="1" applyNumberFormat="1" applyFont="1"/>
    <xf numFmtId="0" fontId="5" fillId="0" borderId="0" xfId="1" applyFont="1"/>
    <xf numFmtId="0" fontId="7" fillId="0" borderId="0" xfId="1" applyFont="1"/>
    <xf numFmtId="0" fontId="8" fillId="4" borderId="2" xfId="4" applyFont="1" applyFill="1" applyBorder="1" applyAlignment="1">
      <alignment horizontal="center" vertical="top"/>
    </xf>
    <xf numFmtId="165" fontId="10" fillId="2" borderId="0" xfId="3" applyNumberFormat="1" applyFont="1" applyFill="1" applyBorder="1" applyAlignment="1" applyProtection="1">
      <alignment horizontal="left"/>
    </xf>
    <xf numFmtId="1" fontId="7" fillId="2" borderId="0" xfId="4" applyNumberFormat="1" applyFont="1" applyFill="1" applyBorder="1"/>
    <xf numFmtId="166" fontId="7" fillId="2" borderId="0" xfId="4" applyNumberFormat="1" applyFont="1" applyFill="1" applyBorder="1"/>
    <xf numFmtId="0" fontId="8" fillId="2" borderId="0" xfId="1" applyFont="1" applyFill="1" applyBorder="1"/>
    <xf numFmtId="165" fontId="8" fillId="0" borderId="0" xfId="3" applyNumberFormat="1" applyFont="1" applyFill="1" applyBorder="1" applyAlignment="1" applyProtection="1">
      <alignment horizontal="left" indent="2"/>
    </xf>
    <xf numFmtId="1" fontId="8" fillId="3" borderId="0" xfId="4" applyNumberFormat="1" applyFont="1" applyFill="1" applyBorder="1" applyAlignment="1">
      <alignment horizontal="right" vertical="center"/>
    </xf>
    <xf numFmtId="1" fontId="7" fillId="3" borderId="0" xfId="4" applyNumberFormat="1" applyFont="1" applyFill="1" applyBorder="1" applyAlignment="1">
      <alignment horizontal="right" vertical="center"/>
    </xf>
    <xf numFmtId="1" fontId="9" fillId="3" borderId="4" xfId="4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 applyProtection="1">
      <alignment horizontal="left" indent="2"/>
    </xf>
    <xf numFmtId="166" fontId="8" fillId="3" borderId="0" xfId="4" applyNumberFormat="1" applyFont="1" applyFill="1" applyBorder="1" applyAlignment="1">
      <alignment horizontal="right" vertical="center"/>
    </xf>
    <xf numFmtId="166" fontId="7" fillId="3" borderId="0" xfId="4" applyNumberFormat="1" applyFont="1" applyFill="1" applyBorder="1" applyAlignment="1">
      <alignment horizontal="right" vertical="center"/>
    </xf>
    <xf numFmtId="166" fontId="9" fillId="3" borderId="4" xfId="4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left" indent="2"/>
    </xf>
    <xf numFmtId="166" fontId="7" fillId="3" borderId="0" xfId="1" applyNumberFormat="1" applyFont="1" applyFill="1" applyBorder="1" applyAlignment="1">
      <alignment horizontal="right"/>
    </xf>
    <xf numFmtId="166" fontId="12" fillId="3" borderId="4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2"/>
    </xf>
    <xf numFmtId="166" fontId="13" fillId="3" borderId="0" xfId="1" applyNumberFormat="1" applyFont="1" applyFill="1" applyBorder="1" applyAlignment="1">
      <alignment horizontal="right"/>
    </xf>
    <xf numFmtId="1" fontId="10" fillId="0" borderId="0" xfId="3" applyNumberFormat="1" applyFont="1" applyFill="1" applyBorder="1" applyAlignment="1" applyProtection="1">
      <alignment horizontal="left" indent="2"/>
    </xf>
    <xf numFmtId="166" fontId="8" fillId="3" borderId="0" xfId="1" applyNumberFormat="1" applyFont="1" applyFill="1" applyBorder="1" applyAlignment="1">
      <alignment horizontal="right"/>
    </xf>
    <xf numFmtId="166" fontId="9" fillId="3" borderId="4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4"/>
    </xf>
    <xf numFmtId="1" fontId="11" fillId="0" borderId="0" xfId="3" applyNumberFormat="1" applyFont="1" applyFill="1" applyBorder="1" applyAlignment="1" applyProtection="1">
      <alignment horizontal="left" indent="6"/>
    </xf>
    <xf numFmtId="165" fontId="11" fillId="0" borderId="0" xfId="3" applyNumberFormat="1" applyFont="1" applyFill="1" applyBorder="1" applyAlignment="1" applyProtection="1">
      <alignment horizontal="left"/>
    </xf>
    <xf numFmtId="166" fontId="14" fillId="0" borderId="0" xfId="1" applyNumberFormat="1" applyFont="1" applyBorder="1" applyAlignment="1">
      <alignment horizontal="right"/>
    </xf>
    <xf numFmtId="166" fontId="15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5" fillId="2" borderId="0" xfId="4" applyNumberFormat="1" applyFont="1" applyFill="1" applyBorder="1"/>
    <xf numFmtId="165" fontId="16" fillId="2" borderId="0" xfId="3" applyNumberFormat="1" applyFont="1" applyFill="1" applyBorder="1" applyAlignment="1" applyProtection="1">
      <alignment horizontal="left"/>
    </xf>
    <xf numFmtId="0" fontId="16" fillId="2" borderId="0" xfId="1" applyFont="1" applyFill="1" applyBorder="1"/>
    <xf numFmtId="0" fontId="9" fillId="2" borderId="0" xfId="1" applyFont="1" applyFill="1" applyBorder="1"/>
    <xf numFmtId="166" fontId="17" fillId="3" borderId="0" xfId="1" applyNumberFormat="1" applyFont="1" applyFill="1" applyBorder="1" applyAlignment="1">
      <alignment horizontal="right"/>
    </xf>
    <xf numFmtId="1" fontId="11" fillId="0" borderId="0" xfId="3" applyNumberFormat="1" applyFont="1" applyFill="1" applyBorder="1" applyAlignment="1" applyProtection="1">
      <alignment horizontal="left" indent="5"/>
    </xf>
    <xf numFmtId="165" fontId="11" fillId="0" borderId="0" xfId="3" applyNumberFormat="1" applyFont="1" applyFill="1" applyBorder="1" applyAlignment="1" applyProtection="1">
      <alignment horizontal="left" indent="1"/>
    </xf>
    <xf numFmtId="165" fontId="15" fillId="0" borderId="0" xfId="3" applyNumberFormat="1" applyFont="1" applyFill="1" applyBorder="1" applyAlignment="1" applyProtection="1">
      <alignment horizontal="left" indent="1"/>
    </xf>
    <xf numFmtId="165" fontId="12" fillId="0" borderId="0" xfId="3" applyNumberFormat="1" applyFont="1" applyFill="1" applyBorder="1" applyAlignment="1" applyProtection="1">
      <alignment horizontal="left" indent="1"/>
    </xf>
    <xf numFmtId="166" fontId="16" fillId="0" borderId="0" xfId="4" applyNumberFormat="1" applyFont="1" applyFill="1" applyBorder="1" applyAlignment="1">
      <alignment horizontal="right" vertical="center"/>
    </xf>
    <xf numFmtId="166" fontId="16" fillId="3" borderId="0" xfId="4" applyNumberFormat="1" applyFont="1" applyFill="1" applyBorder="1" applyAlignment="1">
      <alignment horizontal="right" vertical="center"/>
    </xf>
    <xf numFmtId="166" fontId="15" fillId="3" borderId="0" xfId="1" applyNumberFormat="1" applyFont="1" applyFill="1" applyBorder="1" applyAlignment="1">
      <alignment horizontal="right"/>
    </xf>
    <xf numFmtId="166" fontId="9" fillId="3" borderId="0" xfId="4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/>
    </xf>
    <xf numFmtId="166" fontId="12" fillId="3" borderId="3" xfId="1" applyNumberFormat="1" applyFont="1" applyFill="1" applyBorder="1" applyAlignment="1">
      <alignment horizontal="right"/>
    </xf>
    <xf numFmtId="1" fontId="11" fillId="0" borderId="2" xfId="3" applyNumberFormat="1" applyFont="1" applyFill="1" applyBorder="1" applyAlignment="1" applyProtection="1">
      <alignment horizontal="left" indent="2"/>
    </xf>
    <xf numFmtId="166" fontId="7" fillId="3" borderId="2" xfId="1" applyNumberFormat="1" applyFont="1" applyFill="1" applyBorder="1" applyAlignment="1">
      <alignment horizontal="right"/>
    </xf>
    <xf numFmtId="166" fontId="8" fillId="0" borderId="2" xfId="1" applyNumberFormat="1" applyFont="1" applyFill="1" applyBorder="1" applyAlignment="1">
      <alignment horizontal="right"/>
    </xf>
    <xf numFmtId="166" fontId="8" fillId="3" borderId="2" xfId="1" applyNumberFormat="1" applyFont="1" applyFill="1" applyBorder="1" applyAlignment="1">
      <alignment horizontal="right"/>
    </xf>
    <xf numFmtId="166" fontId="12" fillId="3" borderId="5" xfId="1" applyNumberFormat="1" applyFont="1" applyFill="1" applyBorder="1" applyAlignment="1">
      <alignment horizontal="right"/>
    </xf>
    <xf numFmtId="166" fontId="12" fillId="3" borderId="6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center"/>
    </xf>
    <xf numFmtId="164" fontId="8" fillId="4" borderId="1" xfId="2" applyNumberFormat="1" applyFont="1" applyFill="1" applyBorder="1" applyAlignment="1">
      <alignment horizontal="center" vertical="center"/>
    </xf>
    <xf numFmtId="164" fontId="8" fillId="4" borderId="0" xfId="2" applyNumberFormat="1" applyFont="1" applyFill="1" applyBorder="1" applyAlignment="1">
      <alignment horizontal="center" vertical="center"/>
    </xf>
    <xf numFmtId="164" fontId="8" fillId="4" borderId="2" xfId="2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8" fillId="4" borderId="2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9" fillId="4" borderId="0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</cellXfs>
  <cellStyles count="5">
    <cellStyle name="Normal_SEI(feb17)" xfId="3"/>
    <cellStyle name="Normal_sum" xfId="2"/>
    <cellStyle name="Звичайний 2" xfId="4"/>
    <cellStyle name="Обычный" xfId="0" builtinId="0"/>
    <cellStyle name="Обычный_Forec table IMF style 3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28575</xdr:rowOff>
        </xdr:from>
        <xdr:to>
          <xdr:col>0</xdr:col>
          <xdr:colOff>485775</xdr:colOff>
          <xdr:row>1</xdr:row>
          <xdr:rowOff>123825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r_Forecast\Macro%20Forecast\2016_04%20IR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&#1052;&#1086;&#1103;%20&#1087;&#1072;&#1087;&#1082;&#1072;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103;%20&#1087;&#1072;&#1087;&#1082;&#1072;\FORECAST\QUARTAL\2012\4.2012\&#1052;&#1086;&#1103;%20&#1087;&#1072;&#1087;&#1082;&#1072;\FORECAST\QUARTAL\2010\2.2010\WINDOWS\TEMP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Corporate">
      <a:dk1>
        <a:sysClr val="windowText" lastClr="000000"/>
      </a:dk1>
      <a:lt1>
        <a:sysClr val="window" lastClr="FFFFFF"/>
      </a:lt1>
      <a:dk2>
        <a:srgbClr val="057D46"/>
      </a:dk2>
      <a:lt2>
        <a:srgbClr val="91C864"/>
      </a:lt2>
      <a:accent1>
        <a:srgbClr val="7D0532"/>
      </a:accent1>
      <a:accent2>
        <a:srgbClr val="DC4B64"/>
      </a:accent2>
      <a:accent3>
        <a:srgbClr val="005591"/>
      </a:accent3>
      <a:accent4>
        <a:srgbClr val="46AFE6"/>
      </a:accent4>
      <a:accent5>
        <a:srgbClr val="505050"/>
      </a:accent5>
      <a:accent6>
        <a:srgbClr val="8C969B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X56"/>
  <sheetViews>
    <sheetView showGridLines="0" tabSelected="1" showOutlineSymbols="0" zoomScaleNormal="100" zoomScaleSheetLayoutView="85" workbookViewId="0">
      <selection activeCell="B18" sqref="B18"/>
    </sheetView>
  </sheetViews>
  <sheetFormatPr defaultColWidth="9.33203125" defaultRowHeight="12.75" x14ac:dyDescent="0.2"/>
  <cols>
    <col min="1" max="1" width="10" style="2" customWidth="1"/>
    <col min="2" max="2" width="53.5" style="2" customWidth="1"/>
    <col min="3" max="5" width="6.83203125" style="2" bestFit="1" customWidth="1"/>
    <col min="6" max="6" width="6" style="2" bestFit="1" customWidth="1"/>
    <col min="7" max="7" width="5.83203125" style="2" bestFit="1" customWidth="1"/>
    <col min="8" max="9" width="6.5" style="2" bestFit="1" customWidth="1"/>
    <col min="10" max="10" width="12" style="2" customWidth="1"/>
    <col min="11" max="11" width="9.6640625" style="2" customWidth="1"/>
    <col min="12" max="13" width="5.83203125" style="2" bestFit="1" customWidth="1"/>
    <col min="14" max="15" width="6.5" style="2" bestFit="1" customWidth="1"/>
    <col min="16" max="16" width="11.6640625" style="2" customWidth="1"/>
    <col min="17" max="17" width="9.6640625" style="2" customWidth="1"/>
    <col min="18" max="18" width="5.83203125" style="2" bestFit="1" customWidth="1"/>
    <col min="19" max="20" width="6.5" style="2" bestFit="1" customWidth="1"/>
    <col min="21" max="21" width="7.33203125" style="2" bestFit="1" customWidth="1"/>
    <col min="22" max="22" width="11.1640625" style="2" customWidth="1"/>
    <col min="23" max="23" width="10.5" style="2" customWidth="1"/>
    <col min="24" max="16384" width="9.33203125" style="2"/>
  </cols>
  <sheetData>
    <row r="1" spans="1:23" x14ac:dyDescent="0.2">
      <c r="A1" s="1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3.5" customHeight="1" x14ac:dyDescent="0.2">
      <c r="B2" s="58" t="str">
        <f>IF(A1=1,"Макроекономічний прогноз (Квітень 2019)","Macroeconomic forecast (April 2019)")</f>
        <v>Macroeconomic forecast (April 2019)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2">
      <c r="A3" s="8" t="s">
        <v>0</v>
      </c>
      <c r="B3" s="59" t="str">
        <f>IF(A1=1,"Показники","Indicators")</f>
        <v>Indicators</v>
      </c>
      <c r="C3" s="62">
        <v>2016</v>
      </c>
      <c r="D3" s="62">
        <v>2017</v>
      </c>
      <c r="E3" s="62">
        <v>2018</v>
      </c>
      <c r="F3" s="62">
        <v>2019</v>
      </c>
      <c r="G3" s="62"/>
      <c r="H3" s="62"/>
      <c r="I3" s="62"/>
      <c r="J3" s="62"/>
      <c r="K3" s="62"/>
      <c r="L3" s="62">
        <v>2020</v>
      </c>
      <c r="M3" s="62"/>
      <c r="N3" s="62"/>
      <c r="O3" s="62"/>
      <c r="P3" s="62"/>
      <c r="Q3" s="62"/>
      <c r="R3" s="62">
        <v>2021</v>
      </c>
      <c r="S3" s="62"/>
      <c r="T3" s="62"/>
      <c r="U3" s="62"/>
      <c r="V3" s="62"/>
      <c r="W3" s="62"/>
    </row>
    <row r="4" spans="1:23" ht="15.75" customHeight="1" x14ac:dyDescent="0.2">
      <c r="A4" s="8" t="s">
        <v>1</v>
      </c>
      <c r="B4" s="60"/>
      <c r="C4" s="63"/>
      <c r="D4" s="63"/>
      <c r="E4" s="63"/>
      <c r="F4" s="63"/>
      <c r="G4" s="63"/>
      <c r="H4" s="63"/>
      <c r="I4" s="63"/>
      <c r="J4" s="65" t="str">
        <f>IF($A$1=1,"поточний прогноз","current forecast")</f>
        <v>current forecast</v>
      </c>
      <c r="K4" s="67" t="str">
        <f>IF($A$1=1,"прогноз 1.2019","forecast 1.2019")</f>
        <v>forecast 1.2019</v>
      </c>
      <c r="L4" s="63"/>
      <c r="M4" s="63"/>
      <c r="N4" s="63"/>
      <c r="O4" s="63"/>
      <c r="P4" s="65" t="str">
        <f>IF($A$1=1,"поточний прогноз","current forecast")</f>
        <v>current forecast</v>
      </c>
      <c r="Q4" s="67" t="str">
        <f>IF($A$1=1,"прогноз 1.2019","forecast 1.2019")</f>
        <v>forecast 1.2019</v>
      </c>
      <c r="R4" s="63"/>
      <c r="S4" s="63"/>
      <c r="T4" s="63"/>
      <c r="U4" s="63"/>
      <c r="V4" s="65" t="str">
        <f>IF($A$1=1,"поточний прогноз","current forecast")</f>
        <v>current forecast</v>
      </c>
      <c r="W4" s="67" t="str">
        <f>IF($A$1=1,"прогноз 1.2019","forecast 1.2019")</f>
        <v>forecast 1.2019</v>
      </c>
    </row>
    <row r="5" spans="1:23" ht="27" customHeight="1" x14ac:dyDescent="0.2">
      <c r="B5" s="61"/>
      <c r="C5" s="64"/>
      <c r="D5" s="64"/>
      <c r="E5" s="64"/>
      <c r="F5" s="10" t="s">
        <v>2</v>
      </c>
      <c r="G5" s="10" t="s">
        <v>3</v>
      </c>
      <c r="H5" s="10" t="s">
        <v>4</v>
      </c>
      <c r="I5" s="10" t="s">
        <v>5</v>
      </c>
      <c r="J5" s="66"/>
      <c r="K5" s="68"/>
      <c r="L5" s="10" t="s">
        <v>2</v>
      </c>
      <c r="M5" s="10" t="s">
        <v>3</v>
      </c>
      <c r="N5" s="10" t="s">
        <v>4</v>
      </c>
      <c r="O5" s="10" t="s">
        <v>5</v>
      </c>
      <c r="P5" s="66"/>
      <c r="Q5" s="68"/>
      <c r="R5" s="10" t="s">
        <v>2</v>
      </c>
      <c r="S5" s="10" t="s">
        <v>3</v>
      </c>
      <c r="T5" s="10" t="s">
        <v>4</v>
      </c>
      <c r="U5" s="10" t="s">
        <v>5</v>
      </c>
      <c r="V5" s="66"/>
      <c r="W5" s="68"/>
    </row>
    <row r="6" spans="1:23" x14ac:dyDescent="0.2">
      <c r="B6" s="11" t="str">
        <f>IF(A1=1,"РЕАЛЬНИЙ СЕКТОР, % р/р, якщо не зазначено інше","REAL ECONOMY, % yoy, unless otherwise stated")</f>
        <v>REAL ECONOMY, % yoy, unless otherwise stated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1"/>
      <c r="S6" s="14"/>
      <c r="T6" s="14"/>
      <c r="U6" s="14"/>
      <c r="V6" s="14"/>
      <c r="W6" s="14"/>
    </row>
    <row r="7" spans="1:23" x14ac:dyDescent="0.2">
      <c r="B7" s="15" t="str">
        <f>IF(A1=1,"Номінальний ВВП, млрд грн","Nominal GDP, UAH bn")</f>
        <v>Nominal GDP, UAH bn</v>
      </c>
      <c r="C7" s="16">
        <v>2385.4</v>
      </c>
      <c r="D7" s="16">
        <v>2983.9</v>
      </c>
      <c r="E7" s="16">
        <v>3558.7</v>
      </c>
      <c r="F7" s="17">
        <v>797.2</v>
      </c>
      <c r="G7" s="17">
        <v>906.5</v>
      </c>
      <c r="H7" s="17">
        <v>1106.8</v>
      </c>
      <c r="I7" s="17">
        <v>1159.9000000000001</v>
      </c>
      <c r="J7" s="16">
        <v>3970.4</v>
      </c>
      <c r="K7" s="18">
        <v>3964.6</v>
      </c>
      <c r="L7" s="17">
        <v>880</v>
      </c>
      <c r="M7" s="17">
        <v>994.7</v>
      </c>
      <c r="N7" s="17">
        <v>1212.5</v>
      </c>
      <c r="O7" s="17">
        <v>1255.0999999999999</v>
      </c>
      <c r="P7" s="16">
        <v>4342.3</v>
      </c>
      <c r="Q7" s="18">
        <v>4335.7</v>
      </c>
      <c r="R7" s="17">
        <v>958.6</v>
      </c>
      <c r="S7" s="17">
        <v>1084.2</v>
      </c>
      <c r="T7" s="17">
        <v>1325</v>
      </c>
      <c r="U7" s="17">
        <v>1382.7</v>
      </c>
      <c r="V7" s="16">
        <v>4750.3999999999996</v>
      </c>
      <c r="W7" s="18">
        <v>4743.6000000000004</v>
      </c>
    </row>
    <row r="8" spans="1:23" x14ac:dyDescent="0.2">
      <c r="B8" s="19" t="str">
        <f>IF(A1=1,"Реальний ВВП","Real GDP")</f>
        <v>Real GDP</v>
      </c>
      <c r="C8" s="20">
        <v>2.4</v>
      </c>
      <c r="D8" s="20">
        <v>2.5</v>
      </c>
      <c r="E8" s="20">
        <v>3.3</v>
      </c>
      <c r="F8" s="21">
        <v>2.4</v>
      </c>
      <c r="G8" s="21">
        <v>2.6</v>
      </c>
      <c r="H8" s="21">
        <v>2.5</v>
      </c>
      <c r="I8" s="21">
        <v>2.5</v>
      </c>
      <c r="J8" s="20">
        <v>2.5</v>
      </c>
      <c r="K8" s="22">
        <v>2.5</v>
      </c>
      <c r="L8" s="21">
        <v>3.2</v>
      </c>
      <c r="M8" s="21">
        <v>3</v>
      </c>
      <c r="N8" s="21">
        <v>3</v>
      </c>
      <c r="O8" s="21">
        <v>2.5</v>
      </c>
      <c r="P8" s="20">
        <v>2.9</v>
      </c>
      <c r="Q8" s="22">
        <v>2.9</v>
      </c>
      <c r="R8" s="21">
        <v>3.2</v>
      </c>
      <c r="S8" s="21">
        <v>3.3</v>
      </c>
      <c r="T8" s="21">
        <v>3.7</v>
      </c>
      <c r="U8" s="21">
        <v>4.4000000000000004</v>
      </c>
      <c r="V8" s="20">
        <v>3.7</v>
      </c>
      <c r="W8" s="22">
        <v>3.7</v>
      </c>
    </row>
    <row r="9" spans="1:23" x14ac:dyDescent="0.2">
      <c r="B9" s="23" t="str">
        <f>IF(A1=1,"Дефлятор ВВП","GDP Deflator")</f>
        <v>GDP Deflator</v>
      </c>
      <c r="C9" s="24">
        <v>17.100000000000001</v>
      </c>
      <c r="D9" s="24">
        <v>22.1</v>
      </c>
      <c r="E9" s="24">
        <v>15.4</v>
      </c>
      <c r="F9" s="24">
        <v>10.4</v>
      </c>
      <c r="G9" s="24">
        <v>9</v>
      </c>
      <c r="H9" s="24">
        <v>8</v>
      </c>
      <c r="I9" s="24">
        <v>8</v>
      </c>
      <c r="J9" s="24">
        <v>8.9</v>
      </c>
      <c r="K9" s="25">
        <v>8.9</v>
      </c>
      <c r="L9" s="24">
        <v>7</v>
      </c>
      <c r="M9" s="24">
        <v>6.5</v>
      </c>
      <c r="N9" s="24">
        <v>6</v>
      </c>
      <c r="O9" s="24">
        <v>5.5</v>
      </c>
      <c r="P9" s="24">
        <v>6.3</v>
      </c>
      <c r="Q9" s="25">
        <v>6.3</v>
      </c>
      <c r="R9" s="24">
        <v>5.5</v>
      </c>
      <c r="S9" s="24">
        <v>5.5</v>
      </c>
      <c r="T9" s="24">
        <v>5.5</v>
      </c>
      <c r="U9" s="24">
        <v>5.5</v>
      </c>
      <c r="V9" s="24">
        <v>5.5</v>
      </c>
      <c r="W9" s="25">
        <v>5.5</v>
      </c>
    </row>
    <row r="10" spans="1:23" x14ac:dyDescent="0.2">
      <c r="B10" s="26" t="str">
        <f>IF(A1=1,"ІСЦ (середнє за період)","Consumer prices (period average)")</f>
        <v>Consumer prices (period average)</v>
      </c>
      <c r="C10" s="24">
        <v>13.9</v>
      </c>
      <c r="D10" s="24">
        <v>14.4</v>
      </c>
      <c r="E10" s="24">
        <v>10.9</v>
      </c>
      <c r="F10" s="27" t="s">
        <v>6</v>
      </c>
      <c r="G10" s="27" t="s">
        <v>6</v>
      </c>
      <c r="H10" s="27" t="s">
        <v>6</v>
      </c>
      <c r="I10" s="27" t="s">
        <v>6</v>
      </c>
      <c r="J10" s="24">
        <v>8</v>
      </c>
      <c r="K10" s="25">
        <v>8.1</v>
      </c>
      <c r="L10" s="27" t="s">
        <v>6</v>
      </c>
      <c r="M10" s="27" t="s">
        <v>6</v>
      </c>
      <c r="N10" s="27" t="s">
        <v>6</v>
      </c>
      <c r="O10" s="27" t="s">
        <v>6</v>
      </c>
      <c r="P10" s="24">
        <v>5.7</v>
      </c>
      <c r="Q10" s="25">
        <v>5.7</v>
      </c>
      <c r="R10" s="27" t="s">
        <v>6</v>
      </c>
      <c r="S10" s="27" t="s">
        <v>6</v>
      </c>
      <c r="T10" s="27" t="s">
        <v>6</v>
      </c>
      <c r="U10" s="27" t="s">
        <v>6</v>
      </c>
      <c r="V10" s="24">
        <v>5.0999999999999996</v>
      </c>
      <c r="W10" s="25">
        <v>5.2</v>
      </c>
    </row>
    <row r="11" spans="1:23" x14ac:dyDescent="0.2">
      <c r="B11" s="26" t="str">
        <f>IF(A1=1,"ІЦВ (середнє за період)","Producer prices (period average)")</f>
        <v>Producer prices (period average)</v>
      </c>
      <c r="C11" s="24">
        <v>20.5</v>
      </c>
      <c r="D11" s="24">
        <v>26.4</v>
      </c>
      <c r="E11" s="24">
        <v>17.399999999999999</v>
      </c>
      <c r="F11" s="27" t="s">
        <v>6</v>
      </c>
      <c r="G11" s="27" t="s">
        <v>6</v>
      </c>
      <c r="H11" s="27" t="s">
        <v>6</v>
      </c>
      <c r="I11" s="27" t="s">
        <v>6</v>
      </c>
      <c r="J11" s="24">
        <v>9.5</v>
      </c>
      <c r="K11" s="25">
        <v>9.6</v>
      </c>
      <c r="L11" s="27" t="s">
        <v>6</v>
      </c>
      <c r="M11" s="27" t="s">
        <v>6</v>
      </c>
      <c r="N11" s="27" t="s">
        <v>6</v>
      </c>
      <c r="O11" s="27" t="s">
        <v>6</v>
      </c>
      <c r="P11" s="24">
        <v>7.4</v>
      </c>
      <c r="Q11" s="25">
        <v>7.3</v>
      </c>
      <c r="R11" s="27" t="s">
        <v>6</v>
      </c>
      <c r="S11" s="27" t="s">
        <v>6</v>
      </c>
      <c r="T11" s="27" t="s">
        <v>6</v>
      </c>
      <c r="U11" s="27" t="s">
        <v>6</v>
      </c>
      <c r="V11" s="24">
        <v>7.8</v>
      </c>
      <c r="W11" s="25">
        <v>7.8</v>
      </c>
    </row>
    <row r="12" spans="1:23" x14ac:dyDescent="0.2">
      <c r="B12" s="28" t="str">
        <f>IF(A1=1,"ІСЦ (на кінець періоду)","Consumer prices (end of period) ")</f>
        <v xml:space="preserve">Consumer prices (end of period) </v>
      </c>
      <c r="C12" s="29">
        <v>12.4</v>
      </c>
      <c r="D12" s="29">
        <v>13.7</v>
      </c>
      <c r="E12" s="29">
        <v>9.8000000000000007</v>
      </c>
      <c r="F12" s="24">
        <v>8.6</v>
      </c>
      <c r="G12" s="24">
        <v>8.6</v>
      </c>
      <c r="H12" s="24">
        <v>7.3</v>
      </c>
      <c r="I12" s="24">
        <v>6.3</v>
      </c>
      <c r="J12" s="29">
        <v>6.3</v>
      </c>
      <c r="K12" s="30">
        <v>6.3</v>
      </c>
      <c r="L12" s="24">
        <v>5.8</v>
      </c>
      <c r="M12" s="24">
        <v>5.7</v>
      </c>
      <c r="N12" s="24">
        <v>5.8</v>
      </c>
      <c r="O12" s="24">
        <v>5</v>
      </c>
      <c r="P12" s="29">
        <v>5</v>
      </c>
      <c r="Q12" s="30">
        <v>5</v>
      </c>
      <c r="R12" s="24">
        <v>5</v>
      </c>
      <c r="S12" s="24">
        <v>5.0999999999999996</v>
      </c>
      <c r="T12" s="24">
        <v>5.0999999999999996</v>
      </c>
      <c r="U12" s="24">
        <v>5</v>
      </c>
      <c r="V12" s="29">
        <v>5</v>
      </c>
      <c r="W12" s="30">
        <v>5</v>
      </c>
    </row>
    <row r="13" spans="1:23" x14ac:dyDescent="0.2">
      <c r="B13" s="31" t="str">
        <f>IF(A1=1,"Базова інфляція","Core inflation  (end of period) ")</f>
        <v xml:space="preserve">Core inflation  (end of period) </v>
      </c>
      <c r="C13" s="24">
        <v>5.8</v>
      </c>
      <c r="D13" s="24">
        <v>9.5</v>
      </c>
      <c r="E13" s="24">
        <v>8.6999999999999993</v>
      </c>
      <c r="F13" s="24">
        <v>7.6</v>
      </c>
      <c r="G13" s="24">
        <v>7.6</v>
      </c>
      <c r="H13" s="24">
        <v>6.5</v>
      </c>
      <c r="I13" s="24">
        <v>5</v>
      </c>
      <c r="J13" s="24">
        <v>5</v>
      </c>
      <c r="K13" s="25">
        <v>5</v>
      </c>
      <c r="L13" s="24">
        <v>4.8</v>
      </c>
      <c r="M13" s="24">
        <v>4.0999999999999996</v>
      </c>
      <c r="N13" s="24">
        <v>3.8</v>
      </c>
      <c r="O13" s="24">
        <v>3.7</v>
      </c>
      <c r="P13" s="24">
        <v>3.7</v>
      </c>
      <c r="Q13" s="25">
        <v>3.6</v>
      </c>
      <c r="R13" s="24">
        <v>3.7</v>
      </c>
      <c r="S13" s="24">
        <v>3.7</v>
      </c>
      <c r="T13" s="24">
        <v>3.7</v>
      </c>
      <c r="U13" s="24">
        <v>3.7</v>
      </c>
      <c r="V13" s="24">
        <v>3.7</v>
      </c>
      <c r="W13" s="25">
        <v>3.7</v>
      </c>
    </row>
    <row r="14" spans="1:23" x14ac:dyDescent="0.2">
      <c r="B14" s="31" t="str">
        <f>IF(A1=1,"Небазова інфляція","Non-сore inflation  (end of period)")</f>
        <v>Non-сore inflation  (end of period)</v>
      </c>
      <c r="C14" s="24">
        <v>17.5</v>
      </c>
      <c r="D14" s="24">
        <v>19.399999999999999</v>
      </c>
      <c r="E14" s="24">
        <v>10.7</v>
      </c>
      <c r="F14" s="24">
        <v>10</v>
      </c>
      <c r="G14" s="24">
        <v>10</v>
      </c>
      <c r="H14" s="24">
        <v>8.1999999999999993</v>
      </c>
      <c r="I14" s="24">
        <v>8.1</v>
      </c>
      <c r="J14" s="24">
        <v>8.1</v>
      </c>
      <c r="K14" s="25">
        <v>8.1</v>
      </c>
      <c r="L14" s="24">
        <v>7.2</v>
      </c>
      <c r="M14" s="24">
        <v>7.8</v>
      </c>
      <c r="N14" s="24">
        <v>8.5</v>
      </c>
      <c r="O14" s="24">
        <v>6.6</v>
      </c>
      <c r="P14" s="24">
        <v>6.6</v>
      </c>
      <c r="Q14" s="25">
        <v>6.9</v>
      </c>
      <c r="R14" s="24">
        <v>6.5</v>
      </c>
      <c r="S14" s="24">
        <v>6.7</v>
      </c>
      <c r="T14" s="24">
        <v>6.8</v>
      </c>
      <c r="U14" s="24">
        <v>6.6</v>
      </c>
      <c r="V14" s="24">
        <v>6.6</v>
      </c>
      <c r="W14" s="25">
        <v>6.8</v>
      </c>
    </row>
    <row r="15" spans="1:23" x14ac:dyDescent="0.2">
      <c r="B15" s="32" t="str">
        <f>IF(A1=1,"Сирі продтовари","raw foods (end of period)")</f>
        <v>raw foods (end of period)</v>
      </c>
      <c r="C15" s="24">
        <v>1.2</v>
      </c>
      <c r="D15" s="24">
        <v>23.5</v>
      </c>
      <c r="E15" s="24">
        <v>3.3</v>
      </c>
      <c r="F15" s="24">
        <v>3.6</v>
      </c>
      <c r="G15" s="24">
        <v>4.8</v>
      </c>
      <c r="H15" s="24">
        <v>2.5</v>
      </c>
      <c r="I15" s="24">
        <v>3.6</v>
      </c>
      <c r="J15" s="24">
        <v>3.6</v>
      </c>
      <c r="K15" s="25">
        <v>3.4</v>
      </c>
      <c r="L15" s="24">
        <v>1.1000000000000001</v>
      </c>
      <c r="M15" s="24">
        <v>2.8</v>
      </c>
      <c r="N15" s="24">
        <v>4.5999999999999996</v>
      </c>
      <c r="O15" s="24">
        <v>3.1</v>
      </c>
      <c r="P15" s="24">
        <v>3.1</v>
      </c>
      <c r="Q15" s="25">
        <v>3</v>
      </c>
      <c r="R15" s="24">
        <v>3.3</v>
      </c>
      <c r="S15" s="24">
        <v>3.5</v>
      </c>
      <c r="T15" s="24">
        <v>3.5</v>
      </c>
      <c r="U15" s="24">
        <v>3</v>
      </c>
      <c r="V15" s="24">
        <v>3</v>
      </c>
      <c r="W15" s="25">
        <v>3</v>
      </c>
    </row>
    <row r="16" spans="1:23" x14ac:dyDescent="0.2">
      <c r="B16" s="32" t="str">
        <f>IF(A1=1,"Адміністративно регульовані ціни","administrative prices (end of period)")</f>
        <v>administrative prices (end of period)</v>
      </c>
      <c r="C16" s="24">
        <v>34.6</v>
      </c>
      <c r="D16" s="24">
        <v>16.100000000000001</v>
      </c>
      <c r="E16" s="24">
        <v>18</v>
      </c>
      <c r="F16" s="24">
        <v>18.7</v>
      </c>
      <c r="G16" s="24">
        <v>17</v>
      </c>
      <c r="H16" s="24">
        <v>16.8</v>
      </c>
      <c r="I16" s="24">
        <v>13.9</v>
      </c>
      <c r="J16" s="24">
        <v>13.9</v>
      </c>
      <c r="K16" s="25">
        <v>13.6</v>
      </c>
      <c r="L16" s="24">
        <v>12.8</v>
      </c>
      <c r="M16" s="24">
        <v>13.3</v>
      </c>
      <c r="N16" s="24">
        <v>12.4</v>
      </c>
      <c r="O16" s="24">
        <v>9.9</v>
      </c>
      <c r="P16" s="24">
        <v>9.9</v>
      </c>
      <c r="Q16" s="25">
        <v>11.1</v>
      </c>
      <c r="R16" s="24">
        <v>9.8000000000000007</v>
      </c>
      <c r="S16" s="24">
        <v>9.6999999999999993</v>
      </c>
      <c r="T16" s="24">
        <v>9.6999999999999993</v>
      </c>
      <c r="U16" s="24">
        <v>9.6999999999999993</v>
      </c>
      <c r="V16" s="24">
        <v>9.6999999999999993</v>
      </c>
      <c r="W16" s="25">
        <v>10.3</v>
      </c>
    </row>
    <row r="17" spans="1:24" x14ac:dyDescent="0.2">
      <c r="B17" s="28" t="str">
        <f>IF(A1=1,"ІЦВ (на кінець періоду)","Producer prices (end of period) ")</f>
        <v xml:space="preserve">Producer prices (end of period) </v>
      </c>
      <c r="C17" s="29">
        <v>35.700000000000003</v>
      </c>
      <c r="D17" s="29">
        <v>16.5</v>
      </c>
      <c r="E17" s="29">
        <v>14.2</v>
      </c>
      <c r="F17" s="24">
        <v>8.9</v>
      </c>
      <c r="G17" s="24">
        <v>10.7</v>
      </c>
      <c r="H17" s="24">
        <v>8.6999999999999993</v>
      </c>
      <c r="I17" s="24">
        <v>8.1999999999999993</v>
      </c>
      <c r="J17" s="29">
        <v>8.1999999999999993</v>
      </c>
      <c r="K17" s="30">
        <v>8.1999999999999993</v>
      </c>
      <c r="L17" s="24">
        <v>9.6999999999999993</v>
      </c>
      <c r="M17" s="24">
        <v>7.2</v>
      </c>
      <c r="N17" s="24">
        <v>6.2</v>
      </c>
      <c r="O17" s="24">
        <v>7.6</v>
      </c>
      <c r="P17" s="29">
        <v>7.6</v>
      </c>
      <c r="Q17" s="30">
        <v>7.6</v>
      </c>
      <c r="R17" s="24">
        <v>7.6</v>
      </c>
      <c r="S17" s="24">
        <v>8</v>
      </c>
      <c r="T17" s="24">
        <v>8</v>
      </c>
      <c r="U17" s="24">
        <v>7.3</v>
      </c>
      <c r="V17" s="29">
        <v>7.3</v>
      </c>
      <c r="W17" s="30">
        <v>7.3</v>
      </c>
    </row>
    <row r="18" spans="1:24" x14ac:dyDescent="0.2">
      <c r="B18" s="26" t="str">
        <f>IF(A1=1,"Номінальна заробітна плата, (в середньому за період)","Nominal wages (period average)")</f>
        <v>Nominal wages (period average)</v>
      </c>
      <c r="C18" s="24">
        <v>23.6</v>
      </c>
      <c r="D18" s="24">
        <v>37.1</v>
      </c>
      <c r="E18" s="24">
        <v>24.8</v>
      </c>
      <c r="F18" s="24">
        <v>19.5</v>
      </c>
      <c r="G18" s="24">
        <v>15.1</v>
      </c>
      <c r="H18" s="24">
        <v>12.6</v>
      </c>
      <c r="I18" s="24">
        <v>10.3</v>
      </c>
      <c r="J18" s="24">
        <v>14.2</v>
      </c>
      <c r="K18" s="25">
        <v>15.6</v>
      </c>
      <c r="L18" s="24">
        <v>11.2</v>
      </c>
      <c r="M18" s="24">
        <v>11.3</v>
      </c>
      <c r="N18" s="24">
        <v>10.4</v>
      </c>
      <c r="O18" s="24">
        <v>9.6</v>
      </c>
      <c r="P18" s="24">
        <v>10.6</v>
      </c>
      <c r="Q18" s="25">
        <v>10.9</v>
      </c>
      <c r="R18" s="24">
        <v>8.8000000000000007</v>
      </c>
      <c r="S18" s="24">
        <v>8.6999999999999993</v>
      </c>
      <c r="T18" s="24">
        <v>8.8000000000000007</v>
      </c>
      <c r="U18" s="24">
        <v>8.6</v>
      </c>
      <c r="V18" s="24">
        <v>8.6999999999999993</v>
      </c>
      <c r="W18" s="25">
        <v>8.6999999999999993</v>
      </c>
    </row>
    <row r="19" spans="1:24" x14ac:dyDescent="0.2">
      <c r="B19" s="26" t="str">
        <f>IF(A1=1,"Реальна заробітна плата (в середньому за період)","Real wages (period average)")</f>
        <v>Real wages (period average)</v>
      </c>
      <c r="C19" s="24">
        <v>9</v>
      </c>
      <c r="D19" s="24">
        <v>19.100000000000001</v>
      </c>
      <c r="E19" s="24">
        <v>12.5</v>
      </c>
      <c r="F19" s="24">
        <v>9.6999999999999993</v>
      </c>
      <c r="G19" s="24">
        <v>6</v>
      </c>
      <c r="H19" s="24">
        <v>4.2</v>
      </c>
      <c r="I19" s="24">
        <v>3.8</v>
      </c>
      <c r="J19" s="24">
        <v>5.8</v>
      </c>
      <c r="K19" s="25">
        <v>7</v>
      </c>
      <c r="L19" s="24">
        <v>5</v>
      </c>
      <c r="M19" s="24">
        <v>5.3</v>
      </c>
      <c r="N19" s="24">
        <v>4.3</v>
      </c>
      <c r="O19" s="24">
        <v>4.0999999999999996</v>
      </c>
      <c r="P19" s="24">
        <v>4.5999999999999996</v>
      </c>
      <c r="Q19" s="25">
        <v>4.5</v>
      </c>
      <c r="R19" s="24">
        <v>3.6</v>
      </c>
      <c r="S19" s="24">
        <v>3.6</v>
      </c>
      <c r="T19" s="24">
        <v>3.6</v>
      </c>
      <c r="U19" s="24">
        <v>3.4</v>
      </c>
      <c r="V19" s="24">
        <v>3.5</v>
      </c>
      <c r="W19" s="25">
        <v>3.5</v>
      </c>
    </row>
    <row r="20" spans="1:24" x14ac:dyDescent="0.2">
      <c r="B20" s="26" t="str">
        <f>IF(A1=1,"Безробіття, % (МОП)","Unemployment (ILO)")</f>
        <v>Unemployment (ILO)</v>
      </c>
      <c r="C20" s="24">
        <v>9.4</v>
      </c>
      <c r="D20" s="24">
        <v>9.5</v>
      </c>
      <c r="E20" s="24">
        <v>8.8000000000000007</v>
      </c>
      <c r="F20" s="24" t="s">
        <v>6</v>
      </c>
      <c r="G20" s="24" t="s">
        <v>6</v>
      </c>
      <c r="H20" s="24" t="s">
        <v>6</v>
      </c>
      <c r="I20" s="24" t="s">
        <v>6</v>
      </c>
      <c r="J20" s="24">
        <v>8.6999999999999993</v>
      </c>
      <c r="K20" s="25">
        <v>8.5</v>
      </c>
      <c r="L20" s="24" t="s">
        <v>6</v>
      </c>
      <c r="M20" s="24" t="s">
        <v>6</v>
      </c>
      <c r="N20" s="24" t="s">
        <v>6</v>
      </c>
      <c r="O20" s="24" t="s">
        <v>6</v>
      </c>
      <c r="P20" s="24">
        <v>8.6999999999999993</v>
      </c>
      <c r="Q20" s="25">
        <v>8.6999999999999993</v>
      </c>
      <c r="R20" s="24" t="s">
        <v>6</v>
      </c>
      <c r="S20" s="24" t="s">
        <v>6</v>
      </c>
      <c r="T20" s="24" t="s">
        <v>6</v>
      </c>
      <c r="U20" s="24" t="s">
        <v>6</v>
      </c>
      <c r="V20" s="24">
        <v>8.6999999999999993</v>
      </c>
      <c r="W20" s="25">
        <v>8.6999999999999993</v>
      </c>
    </row>
    <row r="21" spans="1:24" x14ac:dyDescent="0.2">
      <c r="B21" s="33"/>
      <c r="C21" s="34"/>
      <c r="D21" s="35"/>
      <c r="E21" s="35"/>
      <c r="F21" s="35"/>
      <c r="G21" s="35"/>
      <c r="H21" s="35"/>
      <c r="I21" s="35"/>
      <c r="J21" s="35"/>
      <c r="K21" s="34"/>
      <c r="L21" s="35"/>
      <c r="M21" s="35"/>
      <c r="N21" s="35"/>
      <c r="O21" s="35"/>
      <c r="P21" s="35"/>
      <c r="Q21" s="34"/>
      <c r="R21" s="35"/>
      <c r="S21" s="35"/>
      <c r="T21" s="35"/>
      <c r="U21" s="35"/>
      <c r="V21" s="35"/>
      <c r="W21" s="36"/>
    </row>
    <row r="22" spans="1:24" x14ac:dyDescent="0.2">
      <c r="B22" s="11" t="str">
        <f>IF($A$1=1,"ФІСКАЛЬНИЙ СЕКТОР","FISCAL SECTOR")</f>
        <v>FISCAL SECTOR</v>
      </c>
      <c r="C22" s="12"/>
      <c r="D22" s="13"/>
      <c r="E22" s="37"/>
      <c r="F22" s="37"/>
      <c r="G22" s="37"/>
      <c r="H22" s="37"/>
      <c r="I22" s="37"/>
      <c r="J22" s="37"/>
      <c r="K22" s="13"/>
      <c r="L22" s="37"/>
      <c r="M22" s="37"/>
      <c r="N22" s="37"/>
      <c r="O22" s="37"/>
      <c r="P22" s="37"/>
      <c r="Q22" s="13"/>
      <c r="R22" s="38"/>
      <c r="S22" s="39"/>
      <c r="T22" s="39"/>
      <c r="U22" s="39"/>
      <c r="V22" s="39"/>
      <c r="W22" s="40"/>
    </row>
    <row r="23" spans="1:24" x14ac:dyDescent="0.2">
      <c r="B23" s="28" t="str">
        <f>IF($A$1=1,"Зведений бюджет, cальдо, млрд грн","Consolidated budget balance, UAH bn")</f>
        <v>Consolidated budget balance, UAH bn</v>
      </c>
      <c r="C23" s="29">
        <v>-54.8</v>
      </c>
      <c r="D23" s="29">
        <v>-42.1</v>
      </c>
      <c r="E23" s="29">
        <v>-67.8</v>
      </c>
      <c r="F23" s="41" t="s">
        <v>6</v>
      </c>
      <c r="G23" s="41" t="s">
        <v>6</v>
      </c>
      <c r="H23" s="41" t="s">
        <v>6</v>
      </c>
      <c r="I23" s="41" t="s">
        <v>6</v>
      </c>
      <c r="J23" s="29">
        <v>-61.5</v>
      </c>
      <c r="K23" s="30">
        <v>-61.4</v>
      </c>
      <c r="L23" s="41" t="s">
        <v>6</v>
      </c>
      <c r="M23" s="41" t="s">
        <v>6</v>
      </c>
      <c r="N23" s="41" t="s">
        <v>6</v>
      </c>
      <c r="O23" s="41" t="s">
        <v>6</v>
      </c>
      <c r="P23" s="29">
        <v>-67.2</v>
      </c>
      <c r="Q23" s="30">
        <v>-67.2</v>
      </c>
      <c r="R23" s="41" t="s">
        <v>6</v>
      </c>
      <c r="S23" s="41" t="s">
        <v>6</v>
      </c>
      <c r="T23" s="41" t="s">
        <v>6</v>
      </c>
      <c r="U23" s="41" t="s">
        <v>6</v>
      </c>
      <c r="V23" s="29">
        <v>-73.599999999999994</v>
      </c>
      <c r="W23" s="30">
        <v>-73.5</v>
      </c>
    </row>
    <row r="24" spans="1:24" x14ac:dyDescent="0.2">
      <c r="B24" s="42" t="str">
        <f>IF($A$1=1,"% ВВП","% of GDP")</f>
        <v>% of GDP</v>
      </c>
      <c r="C24" s="24">
        <v>-2.2999999999999998</v>
      </c>
      <c r="D24" s="24">
        <v>-1.4</v>
      </c>
      <c r="E24" s="24">
        <v>-1.9</v>
      </c>
      <c r="F24" s="27" t="s">
        <v>6</v>
      </c>
      <c r="G24" s="27" t="s">
        <v>6</v>
      </c>
      <c r="H24" s="27" t="s">
        <v>6</v>
      </c>
      <c r="I24" s="27" t="s">
        <v>6</v>
      </c>
      <c r="J24" s="24">
        <v>-1.5</v>
      </c>
      <c r="K24" s="25">
        <v>-1.5</v>
      </c>
      <c r="L24" s="27" t="s">
        <v>6</v>
      </c>
      <c r="M24" s="27" t="s">
        <v>6</v>
      </c>
      <c r="N24" s="27" t="s">
        <v>6</v>
      </c>
      <c r="O24" s="27" t="s">
        <v>6</v>
      </c>
      <c r="P24" s="24">
        <v>-1.5</v>
      </c>
      <c r="Q24" s="25">
        <v>-1.5</v>
      </c>
      <c r="R24" s="27" t="s">
        <v>6</v>
      </c>
      <c r="S24" s="27" t="s">
        <v>6</v>
      </c>
      <c r="T24" s="27" t="s">
        <v>6</v>
      </c>
      <c r="U24" s="27" t="s">
        <v>6</v>
      </c>
      <c r="V24" s="24">
        <v>-1.5</v>
      </c>
      <c r="W24" s="25">
        <v>-1.5</v>
      </c>
    </row>
    <row r="25" spans="1:24" x14ac:dyDescent="0.2">
      <c r="B25" s="28" t="str">
        <f>IF($A$1=1,"Баланс CЗДУ (метод. МВФ), млрд грн","Public sector fiscal balance (IMF methodology), UAH bn")</f>
        <v>Public sector fiscal balance (IMF methodology), UAH bn</v>
      </c>
      <c r="C25" s="29">
        <v>-50.3</v>
      </c>
      <c r="D25" s="29">
        <v>-37</v>
      </c>
      <c r="E25" s="29">
        <v>-75.400000000000006</v>
      </c>
      <c r="F25" s="41" t="s">
        <v>6</v>
      </c>
      <c r="G25" s="41" t="s">
        <v>6</v>
      </c>
      <c r="H25" s="41" t="s">
        <v>6</v>
      </c>
      <c r="I25" s="41" t="s">
        <v>6</v>
      </c>
      <c r="J25" s="29">
        <v>-61.2</v>
      </c>
      <c r="K25" s="30">
        <v>-59.6</v>
      </c>
      <c r="L25" s="41" t="s">
        <v>6</v>
      </c>
      <c r="M25" s="41" t="s">
        <v>6</v>
      </c>
      <c r="N25" s="41" t="s">
        <v>6</v>
      </c>
      <c r="O25" s="41" t="s">
        <v>6</v>
      </c>
      <c r="P25" s="29">
        <v>-66.900000000000006</v>
      </c>
      <c r="Q25" s="30">
        <v>-63.7</v>
      </c>
      <c r="R25" s="41" t="s">
        <v>6</v>
      </c>
      <c r="S25" s="41" t="s">
        <v>6</v>
      </c>
      <c r="T25" s="41" t="s">
        <v>6</v>
      </c>
      <c r="U25" s="41" t="s">
        <v>6</v>
      </c>
      <c r="V25" s="29">
        <v>-72.599999999999994</v>
      </c>
      <c r="W25" s="30">
        <v>-70.900000000000006</v>
      </c>
    </row>
    <row r="26" spans="1:24" x14ac:dyDescent="0.2">
      <c r="B26" s="42" t="str">
        <f>IF($A$1=1,"% ВВП","% of GDP")</f>
        <v>% of GDP</v>
      </c>
      <c r="C26" s="24">
        <v>-2.1</v>
      </c>
      <c r="D26" s="24">
        <v>-1.2</v>
      </c>
      <c r="E26" s="24">
        <v>-2.1</v>
      </c>
      <c r="F26" s="27" t="s">
        <v>6</v>
      </c>
      <c r="G26" s="27" t="s">
        <v>6</v>
      </c>
      <c r="H26" s="27" t="s">
        <v>6</v>
      </c>
      <c r="I26" s="27" t="s">
        <v>6</v>
      </c>
      <c r="J26" s="24">
        <v>-1.5</v>
      </c>
      <c r="K26" s="25">
        <v>-1.5</v>
      </c>
      <c r="L26" s="27" t="s">
        <v>6</v>
      </c>
      <c r="M26" s="27" t="s">
        <v>6</v>
      </c>
      <c r="N26" s="27" t="s">
        <v>6</v>
      </c>
      <c r="O26" s="27" t="s">
        <v>6</v>
      </c>
      <c r="P26" s="24">
        <v>-1.5</v>
      </c>
      <c r="Q26" s="25">
        <v>-1.5</v>
      </c>
      <c r="R26" s="27" t="s">
        <v>6</v>
      </c>
      <c r="S26" s="27" t="s">
        <v>6</v>
      </c>
      <c r="T26" s="27" t="s">
        <v>6</v>
      </c>
      <c r="U26" s="27" t="s">
        <v>6</v>
      </c>
      <c r="V26" s="24">
        <v>-1.5</v>
      </c>
      <c r="W26" s="25">
        <v>-1.5</v>
      </c>
    </row>
    <row r="27" spans="1:24" x14ac:dyDescent="0.2">
      <c r="A27" s="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4"/>
      <c r="M27" s="44"/>
      <c r="N27" s="44"/>
      <c r="O27" s="44"/>
      <c r="P27" s="44"/>
      <c r="Q27" s="43"/>
      <c r="R27" s="44"/>
      <c r="S27" s="44"/>
      <c r="T27" s="44"/>
      <c r="U27" s="44"/>
      <c r="V27" s="44"/>
      <c r="W27" s="45"/>
      <c r="X27" s="3"/>
    </row>
    <row r="28" spans="1:24" x14ac:dyDescent="0.2">
      <c r="B28" s="11" t="str">
        <f>IF(A1=1,"ПЛАТІЖНИЙ БАЛАНС (за аналітичною формою НБУ)","BALANCE OF PAYMENTS (NBU methodology)")</f>
        <v>BALANCE OF PAYMENTS (NBU methodology)</v>
      </c>
      <c r="C28" s="12"/>
      <c r="D28" s="13"/>
      <c r="E28" s="37"/>
      <c r="F28" s="37"/>
      <c r="G28" s="37"/>
      <c r="H28" s="37"/>
      <c r="I28" s="37"/>
      <c r="J28" s="37"/>
      <c r="K28" s="13"/>
      <c r="L28" s="37"/>
      <c r="M28" s="37"/>
      <c r="N28" s="37"/>
      <c r="O28" s="37"/>
      <c r="P28" s="37"/>
      <c r="Q28" s="13"/>
      <c r="R28" s="38"/>
      <c r="S28" s="39"/>
      <c r="T28" s="39"/>
      <c r="U28" s="39"/>
      <c r="V28" s="39"/>
      <c r="W28" s="40"/>
      <c r="X28" s="3"/>
    </row>
    <row r="29" spans="1:24" x14ac:dyDescent="0.2">
      <c r="B29" s="26" t="str">
        <f>IF(A1=1,"Поточний рахунок, млрд дол","Current account balance, USD bn")</f>
        <v>Current account balance, USD bn</v>
      </c>
      <c r="C29" s="24">
        <v>-1.3</v>
      </c>
      <c r="D29" s="24">
        <v>-2.4</v>
      </c>
      <c r="E29" s="24">
        <v>-4.5</v>
      </c>
      <c r="F29" s="24">
        <v>-0.4</v>
      </c>
      <c r="G29" s="24">
        <v>-1.2</v>
      </c>
      <c r="H29" s="24">
        <v>-2.2000000000000002</v>
      </c>
      <c r="I29" s="24">
        <v>-1</v>
      </c>
      <c r="J29" s="24">
        <v>-4.9000000000000004</v>
      </c>
      <c r="K29" s="25">
        <v>-4.5</v>
      </c>
      <c r="L29" s="24">
        <v>-1.1000000000000001</v>
      </c>
      <c r="M29" s="24">
        <v>-1.5</v>
      </c>
      <c r="N29" s="24">
        <v>-2.2000000000000002</v>
      </c>
      <c r="O29" s="24">
        <v>-0.9</v>
      </c>
      <c r="P29" s="24">
        <v>-5.8</v>
      </c>
      <c r="Q29" s="25">
        <v>-5.6</v>
      </c>
      <c r="R29" s="24">
        <v>-1.1000000000000001</v>
      </c>
      <c r="S29" s="24">
        <v>-1.7</v>
      </c>
      <c r="T29" s="24">
        <v>-2.2999999999999998</v>
      </c>
      <c r="U29" s="24">
        <v>-1.5</v>
      </c>
      <c r="V29" s="24">
        <v>-6.7</v>
      </c>
      <c r="W29" s="25">
        <v>-6.2</v>
      </c>
      <c r="X29" s="3"/>
    </row>
    <row r="30" spans="1:24" x14ac:dyDescent="0.2">
      <c r="B30" s="26" t="str">
        <f>IF(A1=1,"  Експорт товарів та послуг, млрд дол","  Exports of goods and services, USD bn")</f>
        <v xml:space="preserve">  Exports of goods and services, USD bn</v>
      </c>
      <c r="C30" s="24">
        <v>46</v>
      </c>
      <c r="D30" s="24">
        <v>53.9</v>
      </c>
      <c r="E30" s="24">
        <v>59.1</v>
      </c>
      <c r="F30" s="24">
        <v>14.9</v>
      </c>
      <c r="G30" s="24">
        <v>15</v>
      </c>
      <c r="H30" s="24">
        <v>15.1</v>
      </c>
      <c r="I30" s="24">
        <v>15.8</v>
      </c>
      <c r="J30" s="24">
        <v>60.8</v>
      </c>
      <c r="K30" s="25">
        <v>61.4</v>
      </c>
      <c r="L30" s="24">
        <v>14.5</v>
      </c>
      <c r="M30" s="24">
        <v>14.9</v>
      </c>
      <c r="N30" s="24">
        <v>15.6</v>
      </c>
      <c r="O30" s="24">
        <v>16.600000000000001</v>
      </c>
      <c r="P30" s="24">
        <v>61.7</v>
      </c>
      <c r="Q30" s="25">
        <v>62.2</v>
      </c>
      <c r="R30" s="24">
        <v>15</v>
      </c>
      <c r="S30" s="24">
        <v>15.4</v>
      </c>
      <c r="T30" s="24">
        <v>16.2</v>
      </c>
      <c r="U30" s="24">
        <v>16.899999999999999</v>
      </c>
      <c r="V30" s="24">
        <v>63.6</v>
      </c>
      <c r="W30" s="25">
        <v>64.5</v>
      </c>
      <c r="X30" s="3"/>
    </row>
    <row r="31" spans="1:24" x14ac:dyDescent="0.2">
      <c r="B31" s="26" t="str">
        <f>IF(A1=1,"  Імпорт товарів та послуг, млрд дол","  Imports of goods and services, USD bn")</f>
        <v xml:space="preserve">  Imports of goods and services, USD bn</v>
      </c>
      <c r="C31" s="24">
        <v>52.5</v>
      </c>
      <c r="D31" s="24">
        <v>62.5</v>
      </c>
      <c r="E31" s="24">
        <v>70.3</v>
      </c>
      <c r="F31" s="24">
        <v>16.899999999999999</v>
      </c>
      <c r="G31" s="24">
        <v>17.899999999999999</v>
      </c>
      <c r="H31" s="24">
        <v>18.7</v>
      </c>
      <c r="I31" s="24">
        <v>19.2</v>
      </c>
      <c r="J31" s="24">
        <v>72.7</v>
      </c>
      <c r="K31" s="25">
        <v>73.2</v>
      </c>
      <c r="L31" s="24">
        <v>17.600000000000001</v>
      </c>
      <c r="M31" s="24">
        <v>18.2</v>
      </c>
      <c r="N31" s="24">
        <v>19.3</v>
      </c>
      <c r="O31" s="24">
        <v>20</v>
      </c>
      <c r="P31" s="24">
        <v>75.099999999999994</v>
      </c>
      <c r="Q31" s="25">
        <v>75.7</v>
      </c>
      <c r="R31" s="24">
        <v>18.2</v>
      </c>
      <c r="S31" s="24">
        <v>19</v>
      </c>
      <c r="T31" s="24">
        <v>20.100000000000001</v>
      </c>
      <c r="U31" s="24">
        <v>20.9</v>
      </c>
      <c r="V31" s="24">
        <v>78.2</v>
      </c>
      <c r="W31" s="25">
        <v>78.8</v>
      </c>
      <c r="X31" s="3"/>
    </row>
    <row r="32" spans="1:24" x14ac:dyDescent="0.2">
      <c r="B32" s="26" t="str">
        <f>IF(A1=1,"Фінансовий рахунок, млрд дол","Financial account, USD bn")</f>
        <v>Financial account, USD bn</v>
      </c>
      <c r="C32" s="24">
        <v>-2.6</v>
      </c>
      <c r="D32" s="24">
        <v>-5</v>
      </c>
      <c r="E32" s="24">
        <v>-7.4</v>
      </c>
      <c r="F32" s="24">
        <v>-0.8</v>
      </c>
      <c r="G32" s="24">
        <v>-0.5</v>
      </c>
      <c r="H32" s="24">
        <v>-2.4</v>
      </c>
      <c r="I32" s="24">
        <v>-0.7</v>
      </c>
      <c r="J32" s="24">
        <v>-4.5999999999999996</v>
      </c>
      <c r="K32" s="25">
        <v>-3.4</v>
      </c>
      <c r="L32" s="24">
        <v>-2</v>
      </c>
      <c r="M32" s="24">
        <v>-2.2999999999999998</v>
      </c>
      <c r="N32" s="24">
        <v>-0.8</v>
      </c>
      <c r="O32" s="24">
        <v>-0.5</v>
      </c>
      <c r="P32" s="24">
        <v>-5.6</v>
      </c>
      <c r="Q32" s="25">
        <v>-5.5</v>
      </c>
      <c r="R32" s="24">
        <v>-1.9</v>
      </c>
      <c r="S32" s="24">
        <v>-1.8</v>
      </c>
      <c r="T32" s="24">
        <v>-1.2</v>
      </c>
      <c r="U32" s="24">
        <v>-1</v>
      </c>
      <c r="V32" s="24">
        <v>-6</v>
      </c>
      <c r="W32" s="25">
        <v>-5.5</v>
      </c>
      <c r="X32" s="3"/>
    </row>
    <row r="33" spans="1:24" x14ac:dyDescent="0.2">
      <c r="B33" s="28" t="str">
        <f>IF(A1=1,"Зведений баланс, млрд дол","BOP overall balance, USD bn")</f>
        <v>BOP overall balance, USD bn</v>
      </c>
      <c r="C33" s="29">
        <v>1.3</v>
      </c>
      <c r="D33" s="29">
        <v>2.6</v>
      </c>
      <c r="E33" s="29">
        <v>2.9</v>
      </c>
      <c r="F33" s="29">
        <v>0.3</v>
      </c>
      <c r="G33" s="29">
        <v>-0.7</v>
      </c>
      <c r="H33" s="29">
        <v>0.2</v>
      </c>
      <c r="I33" s="29">
        <v>-0.3</v>
      </c>
      <c r="J33" s="29">
        <v>-0.3</v>
      </c>
      <c r="K33" s="30">
        <v>-1.1000000000000001</v>
      </c>
      <c r="L33" s="29">
        <v>0.9</v>
      </c>
      <c r="M33" s="29">
        <v>0.8</v>
      </c>
      <c r="N33" s="29">
        <v>-1.3</v>
      </c>
      <c r="O33" s="29">
        <v>-0.5</v>
      </c>
      <c r="P33" s="29">
        <v>-0.1</v>
      </c>
      <c r="Q33" s="30">
        <v>-0.1</v>
      </c>
      <c r="R33" s="29">
        <v>0.8</v>
      </c>
      <c r="S33" s="29">
        <v>0.1</v>
      </c>
      <c r="T33" s="29">
        <v>-1.1000000000000001</v>
      </c>
      <c r="U33" s="29">
        <v>-0.5</v>
      </c>
      <c r="V33" s="29">
        <v>-0.7</v>
      </c>
      <c r="W33" s="30">
        <v>-0.7</v>
      </c>
      <c r="X33" s="3"/>
    </row>
    <row r="34" spans="1:24" x14ac:dyDescent="0.2">
      <c r="B34" s="28" t="str">
        <f>IF(A1=1,"Валові резерви, млрд дол","Gross reserves, USD bn")</f>
        <v>Gross reserves, USD bn</v>
      </c>
      <c r="C34" s="29">
        <v>15.5</v>
      </c>
      <c r="D34" s="29">
        <v>18.8</v>
      </c>
      <c r="E34" s="29">
        <v>20.8</v>
      </c>
      <c r="F34" s="29">
        <v>20.6</v>
      </c>
      <c r="G34" s="29">
        <v>20.6</v>
      </c>
      <c r="H34" s="29">
        <v>20.2</v>
      </c>
      <c r="I34" s="29">
        <v>21.2</v>
      </c>
      <c r="J34" s="29">
        <v>21.2</v>
      </c>
      <c r="K34" s="30">
        <v>20.6</v>
      </c>
      <c r="L34" s="29">
        <v>22.5</v>
      </c>
      <c r="M34" s="29">
        <v>23.3</v>
      </c>
      <c r="N34" s="29">
        <v>22.4</v>
      </c>
      <c r="O34" s="29">
        <v>21.9</v>
      </c>
      <c r="P34" s="29">
        <v>21.9</v>
      </c>
      <c r="Q34" s="30">
        <v>21.4</v>
      </c>
      <c r="R34" s="29">
        <v>23.1</v>
      </c>
      <c r="S34" s="29">
        <v>23.2</v>
      </c>
      <c r="T34" s="29">
        <v>22.5</v>
      </c>
      <c r="U34" s="29">
        <v>21.8</v>
      </c>
      <c r="V34" s="29">
        <v>21.8</v>
      </c>
      <c r="W34" s="30">
        <v>21.4</v>
      </c>
      <c r="X34" s="3"/>
    </row>
    <row r="35" spans="1:24" x14ac:dyDescent="0.2">
      <c r="B35" s="31" t="str">
        <f>IF(A1=1,"Місяців імпорту майбутнього періоду","Months of future imports")</f>
        <v>Months of future imports</v>
      </c>
      <c r="C35" s="24">
        <v>3</v>
      </c>
      <c r="D35" s="24">
        <v>3.2</v>
      </c>
      <c r="E35" s="24">
        <v>3.4</v>
      </c>
      <c r="F35" s="24">
        <v>3.4</v>
      </c>
      <c r="G35" s="24">
        <v>3.4</v>
      </c>
      <c r="H35" s="24">
        <v>3.3</v>
      </c>
      <c r="I35" s="24">
        <v>3.4</v>
      </c>
      <c r="J35" s="24">
        <v>3.4</v>
      </c>
      <c r="K35" s="25">
        <v>3.3</v>
      </c>
      <c r="L35" s="24">
        <v>3.6</v>
      </c>
      <c r="M35" s="24">
        <v>3.7</v>
      </c>
      <c r="N35" s="24">
        <v>3.5</v>
      </c>
      <c r="O35" s="24">
        <v>3.4</v>
      </c>
      <c r="P35" s="24">
        <v>3.4</v>
      </c>
      <c r="Q35" s="25">
        <v>3.3</v>
      </c>
      <c r="R35" s="24">
        <v>3.5</v>
      </c>
      <c r="S35" s="24">
        <v>3.5</v>
      </c>
      <c r="T35" s="24">
        <v>3.3</v>
      </c>
      <c r="U35" s="24">
        <v>3.2</v>
      </c>
      <c r="V35" s="24">
        <v>3.2</v>
      </c>
      <c r="W35" s="25">
        <v>3.1</v>
      </c>
      <c r="X35" s="3"/>
    </row>
    <row r="36" spans="1:24" x14ac:dyDescent="0.2">
      <c r="A36" s="3"/>
      <c r="B36" s="33"/>
      <c r="C36" s="46"/>
      <c r="D36" s="46"/>
      <c r="E36" s="46"/>
      <c r="F36" s="35"/>
      <c r="G36" s="35"/>
      <c r="H36" s="46"/>
      <c r="I36" s="46"/>
      <c r="J36" s="46"/>
      <c r="K36" s="47"/>
      <c r="L36" s="48"/>
      <c r="M36" s="48"/>
      <c r="N36" s="47"/>
      <c r="O36" s="47"/>
      <c r="P36" s="47"/>
      <c r="Q36" s="47"/>
      <c r="R36" s="48"/>
      <c r="S36" s="48"/>
      <c r="T36" s="47"/>
      <c r="U36" s="47"/>
      <c r="V36" s="47"/>
      <c r="W36" s="49"/>
      <c r="X36" s="3"/>
    </row>
    <row r="37" spans="1:24" x14ac:dyDescent="0.2">
      <c r="B37" s="11" t="str">
        <f>IF(A1=1,"МОНЕТАРНІ РАХУНКИ (зміна з початку року, %)","MONETARY ACCOUNTS (Qumulative since the beginning of the year)")</f>
        <v>MONETARY ACCOUNTS (Qumulative since the beginning of the year)</v>
      </c>
      <c r="C37" s="12"/>
      <c r="D37" s="13"/>
      <c r="E37" s="37"/>
      <c r="F37" s="37"/>
      <c r="G37" s="37"/>
      <c r="H37" s="37"/>
      <c r="I37" s="37"/>
      <c r="J37" s="37"/>
      <c r="K37" s="13"/>
      <c r="L37" s="37"/>
      <c r="M37" s="37"/>
      <c r="N37" s="37"/>
      <c r="O37" s="37"/>
      <c r="P37" s="37"/>
      <c r="Q37" s="13"/>
      <c r="R37" s="38"/>
      <c r="S37" s="39"/>
      <c r="T37" s="39"/>
      <c r="U37" s="39"/>
      <c r="V37" s="39"/>
      <c r="W37" s="40"/>
      <c r="X37" s="3"/>
    </row>
    <row r="38" spans="1:24" x14ac:dyDescent="0.2">
      <c r="B38" s="26" t="str">
        <f>IF(A1=1,"Грошова база, %","Monetary base, %")</f>
        <v>Monetary base, %</v>
      </c>
      <c r="C38" s="24">
        <v>13.6</v>
      </c>
      <c r="D38" s="24">
        <v>4.5999999999999996</v>
      </c>
      <c r="E38" s="50">
        <v>9.1999999999999993</v>
      </c>
      <c r="F38" s="24">
        <v>-2.8</v>
      </c>
      <c r="G38" s="24">
        <v>3.2</v>
      </c>
      <c r="H38" s="24">
        <v>3.3</v>
      </c>
      <c r="I38" s="24">
        <v>9.4</v>
      </c>
      <c r="J38" s="29">
        <v>9.4</v>
      </c>
      <c r="K38" s="25">
        <v>10.7</v>
      </c>
      <c r="L38" s="24">
        <v>-3.5</v>
      </c>
      <c r="M38" s="24">
        <v>1</v>
      </c>
      <c r="N38" s="24">
        <v>0.7</v>
      </c>
      <c r="O38" s="24">
        <v>6.5</v>
      </c>
      <c r="P38" s="29">
        <v>6.5</v>
      </c>
      <c r="Q38" s="51">
        <v>6.5</v>
      </c>
      <c r="R38" s="24">
        <v>-3.2</v>
      </c>
      <c r="S38" s="24">
        <v>1</v>
      </c>
      <c r="T38" s="24">
        <v>0.7</v>
      </c>
      <c r="U38" s="24">
        <v>6.3</v>
      </c>
      <c r="V38" s="29">
        <v>6.3</v>
      </c>
      <c r="W38" s="25">
        <v>6.2</v>
      </c>
      <c r="X38" s="3"/>
    </row>
    <row r="39" spans="1:24" x14ac:dyDescent="0.2">
      <c r="B39" s="26" t="str">
        <f>IF(A1=1,"Грошова маса, %","Broad money, %")</f>
        <v>Broad money, %</v>
      </c>
      <c r="C39" s="24">
        <v>10.9</v>
      </c>
      <c r="D39" s="24">
        <v>9.6</v>
      </c>
      <c r="E39" s="50">
        <v>5.7</v>
      </c>
      <c r="F39" s="24">
        <v>-1.9</v>
      </c>
      <c r="G39" s="24">
        <v>1</v>
      </c>
      <c r="H39" s="24">
        <v>3.5</v>
      </c>
      <c r="I39" s="24">
        <v>8.5</v>
      </c>
      <c r="J39" s="29">
        <v>8.5</v>
      </c>
      <c r="K39" s="25">
        <v>8.9</v>
      </c>
      <c r="L39" s="24">
        <v>-1.6</v>
      </c>
      <c r="M39" s="24">
        <v>1.1000000000000001</v>
      </c>
      <c r="N39" s="24">
        <v>3.4</v>
      </c>
      <c r="O39" s="24">
        <v>8.4</v>
      </c>
      <c r="P39" s="29">
        <v>8.4</v>
      </c>
      <c r="Q39" s="51">
        <v>8.5</v>
      </c>
      <c r="R39" s="24">
        <v>-1.7</v>
      </c>
      <c r="S39" s="24">
        <v>1.2</v>
      </c>
      <c r="T39" s="24">
        <v>3.6</v>
      </c>
      <c r="U39" s="24">
        <v>8.8000000000000007</v>
      </c>
      <c r="V39" s="29">
        <v>8.8000000000000007</v>
      </c>
      <c r="W39" s="25">
        <v>8.5</v>
      </c>
      <c r="X39" s="3"/>
    </row>
    <row r="40" spans="1:24" x14ac:dyDescent="0.2">
      <c r="B40" s="52" t="str">
        <f>IF(A1=1,"Швидкість обертання (на кінець року, разів)","Velocity of broad money (end of year)")</f>
        <v>Velocity of broad money (end of year)</v>
      </c>
      <c r="C40" s="53">
        <v>2.2000000000000002</v>
      </c>
      <c r="D40" s="53">
        <v>2.5</v>
      </c>
      <c r="E40" s="54">
        <v>2.8</v>
      </c>
      <c r="F40" s="53" t="s">
        <v>6</v>
      </c>
      <c r="G40" s="53" t="s">
        <v>6</v>
      </c>
      <c r="H40" s="53" t="s">
        <v>6</v>
      </c>
      <c r="I40" s="53" t="s">
        <v>6</v>
      </c>
      <c r="J40" s="55">
        <v>2.9</v>
      </c>
      <c r="K40" s="56">
        <v>2.9</v>
      </c>
      <c r="L40" s="53" t="s">
        <v>6</v>
      </c>
      <c r="M40" s="53" t="s">
        <v>6</v>
      </c>
      <c r="N40" s="53" t="s">
        <v>6</v>
      </c>
      <c r="O40" s="53" t="s">
        <v>6</v>
      </c>
      <c r="P40" s="55">
        <v>2.9</v>
      </c>
      <c r="Q40" s="57">
        <v>2.9</v>
      </c>
      <c r="R40" s="53" t="s">
        <v>6</v>
      </c>
      <c r="S40" s="53" t="s">
        <v>6</v>
      </c>
      <c r="T40" s="53" t="s">
        <v>6</v>
      </c>
      <c r="U40" s="53" t="s">
        <v>6</v>
      </c>
      <c r="V40" s="55">
        <v>2.9</v>
      </c>
      <c r="W40" s="56">
        <v>2.9</v>
      </c>
      <c r="X40" s="3"/>
    </row>
    <row r="41" spans="1:24" x14ac:dyDescent="0.2"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6.5" customHeight="1" x14ac:dyDescent="0.2">
      <c r="B42" s="5"/>
    </row>
    <row r="43" spans="1:24" x14ac:dyDescent="0.2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3:23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3:23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3:23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23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23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3:23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3:23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</sheetData>
  <mergeCells count="17">
    <mergeCell ref="V4:V5"/>
    <mergeCell ref="B2:W2"/>
    <mergeCell ref="B3:B5"/>
    <mergeCell ref="C3:C5"/>
    <mergeCell ref="D3:D5"/>
    <mergeCell ref="E3:E5"/>
    <mergeCell ref="F3:K3"/>
    <mergeCell ref="L3:Q3"/>
    <mergeCell ref="R3:W3"/>
    <mergeCell ref="F4:I4"/>
    <mergeCell ref="J4:J5"/>
    <mergeCell ref="W4:W5"/>
    <mergeCell ref="K4:K5"/>
    <mergeCell ref="L4:O4"/>
    <mergeCell ref="P4:P5"/>
    <mergeCell ref="Q4:Q5"/>
    <mergeCell ref="R4:U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  <ignoredErrors>
    <ignoredError sqref="B2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28575</xdr:rowOff>
                  </from>
                  <to>
                    <xdr:col>0</xdr:col>
                    <xdr:colOff>485775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1a.Main IR </vt:lpstr>
      <vt:lpstr>'1a.Main IR '!Область_печати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Юхименко Тетяна Василівна</dc:creator>
  <cp:lastModifiedBy>Андрющенков</cp:lastModifiedBy>
  <dcterms:created xsi:type="dcterms:W3CDTF">2019-05-03T07:24:35Z</dcterms:created>
  <dcterms:modified xsi:type="dcterms:W3CDTF">2019-05-03T14:50:06Z</dcterms:modified>
</cp:coreProperties>
</file>